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.lenzi\Desktop\"/>
    </mc:Choice>
  </mc:AlternateContent>
  <bookViews>
    <workbookView xWindow="0" yWindow="0" windowWidth="28800" windowHeight="12435"/>
  </bookViews>
  <sheets>
    <sheet name="generale" sheetId="1" r:id="rId1"/>
    <sheet name="Foglio1" sheetId="2" r:id="rId2"/>
  </sheets>
  <definedNames>
    <definedName name="_GoBack" localSheetId="0">generale!#REF!</definedName>
    <definedName name="_Hlk102056215" localSheetId="0">generale!#REF!</definedName>
    <definedName name="_xlnm.Print_Area" localSheetId="0">generale!$A$1:$Q$42</definedName>
  </definedNames>
  <calcPr calcId="152511"/>
</workbook>
</file>

<file path=xl/calcChain.xml><?xml version="1.0" encoding="utf-8"?>
<calcChain xmlns="http://schemas.openxmlformats.org/spreadsheetml/2006/main">
  <c r="Q35" i="1" l="1"/>
  <c r="F41" i="1" s="1"/>
  <c r="D9" i="1" l="1"/>
  <c r="S29" i="1"/>
  <c r="R29" i="1" s="1"/>
  <c r="H30" i="1"/>
  <c r="D30" i="1" s="1"/>
  <c r="E30" i="1" s="1"/>
  <c r="S23" i="1"/>
  <c r="R23" i="1" s="1"/>
  <c r="S20" i="1"/>
  <c r="R20" i="1" s="1"/>
  <c r="S14" i="1"/>
  <c r="R14" i="1" s="1"/>
  <c r="S8" i="1"/>
  <c r="R8" i="1" s="1"/>
  <c r="S3" i="1"/>
  <c r="R3" i="1" s="1"/>
  <c r="H27" i="1"/>
  <c r="H26" i="1"/>
  <c r="H25" i="1"/>
  <c r="H24" i="1"/>
  <c r="N27" i="1"/>
  <c r="N26" i="1"/>
  <c r="N25" i="1"/>
  <c r="N24" i="1"/>
  <c r="E9" i="1" l="1"/>
  <c r="F9" i="1" s="1"/>
  <c r="S30" i="1"/>
  <c r="R30" i="1" s="1"/>
  <c r="F30" i="1"/>
  <c r="S9" i="1" l="1"/>
  <c r="R9" i="1" s="1"/>
  <c r="K27" i="1"/>
  <c r="K26" i="1"/>
  <c r="K25" i="1"/>
  <c r="K24" i="1"/>
  <c r="D25" i="1" l="1"/>
  <c r="D26" i="1"/>
  <c r="D15" i="1"/>
  <c r="E15" i="1" s="1"/>
  <c r="F15" i="1" s="1"/>
  <c r="S15" i="1" s="1"/>
  <c r="R15" i="1" s="1"/>
  <c r="D17" i="1"/>
  <c r="E17" i="1" s="1"/>
  <c r="F17" i="1" s="1"/>
  <c r="D16" i="1"/>
  <c r="E16" i="1" s="1"/>
  <c r="F16" i="1" s="1"/>
  <c r="E26" i="1" l="1"/>
  <c r="F26" i="1" s="1"/>
  <c r="S26" i="1" s="1"/>
  <c r="E25" i="1"/>
  <c r="F25" i="1" s="1"/>
  <c r="S25" i="1" s="1"/>
  <c r="S16" i="1"/>
  <c r="R16" i="1" s="1"/>
  <c r="S17" i="1"/>
  <c r="R17" i="1" s="1"/>
  <c r="D12" i="1" l="1"/>
  <c r="E12" i="1" s="1"/>
  <c r="D11" i="1"/>
  <c r="E11" i="1" s="1"/>
  <c r="F11" i="1" l="1"/>
  <c r="S11" i="1" s="1"/>
  <c r="R11" i="1" s="1"/>
  <c r="F12" i="1"/>
  <c r="S12" i="1" s="1"/>
  <c r="R12" i="1" s="1"/>
  <c r="O33" i="1"/>
  <c r="O31" i="1"/>
  <c r="D27" i="1" l="1"/>
  <c r="E27" i="1" s="1"/>
  <c r="F27" i="1" s="1"/>
  <c r="H33" i="1" l="1"/>
  <c r="D33" i="1" s="1"/>
  <c r="H32" i="1"/>
  <c r="D32" i="1" s="1"/>
  <c r="H31" i="1"/>
  <c r="D31" i="1" s="1"/>
  <c r="D18" i="1"/>
  <c r="E18" i="1" s="1"/>
  <c r="F18" i="1" s="1"/>
  <c r="D10" i="1" l="1"/>
  <c r="E10" i="1" s="1"/>
  <c r="K21" i="1"/>
  <c r="F10" i="1" l="1"/>
  <c r="F13" i="1" s="1"/>
  <c r="D21" i="1"/>
  <c r="D5" i="1"/>
  <c r="H4" i="1"/>
  <c r="E5" i="1" l="1"/>
  <c r="F5" i="1" s="1"/>
  <c r="R21" i="1"/>
  <c r="F21" i="1"/>
  <c r="D4" i="1"/>
  <c r="E4" i="1" l="1"/>
  <c r="F4" i="1" s="1"/>
  <c r="S21" i="1"/>
  <c r="F22" i="1"/>
  <c r="D6" i="1" l="1"/>
  <c r="E6" i="1" l="1"/>
  <c r="F6" i="1" s="1"/>
  <c r="F7" i="1" s="1"/>
  <c r="E32" i="1"/>
  <c r="F32" i="1" s="1"/>
  <c r="S6" i="1" l="1"/>
  <c r="R6" i="1" s="1"/>
  <c r="S32" i="1"/>
  <c r="R32" i="1" s="1"/>
  <c r="E31" i="1"/>
  <c r="F31" i="1" s="1"/>
  <c r="E33" i="1"/>
  <c r="F33" i="1" s="1"/>
  <c r="S33" i="1" l="1"/>
  <c r="R33" i="1" s="1"/>
  <c r="S31" i="1"/>
  <c r="R31" i="1" s="1"/>
  <c r="F34" i="1"/>
  <c r="S5" i="1"/>
  <c r="R5" i="1" s="1"/>
  <c r="S34" i="1" l="1"/>
  <c r="R34" i="1" s="1"/>
  <c r="S27" i="1" l="1"/>
  <c r="S4" i="1" l="1"/>
  <c r="R4" i="1" s="1"/>
  <c r="S7" i="1" l="1"/>
  <c r="R7" i="1" s="1"/>
  <c r="S18" i="1" l="1"/>
  <c r="R18" i="1" s="1"/>
  <c r="F19" i="1"/>
  <c r="S19" i="1" l="1"/>
  <c r="R19" i="1" s="1"/>
  <c r="S13" i="1" l="1"/>
  <c r="R13" i="1" s="1"/>
  <c r="S10" i="1" l="1"/>
  <c r="R10" i="1" s="1"/>
  <c r="D24" i="1" l="1"/>
  <c r="D35" i="1" s="1"/>
  <c r="E24" i="1" l="1"/>
  <c r="F24" i="1" s="1"/>
  <c r="F28" i="1" l="1"/>
  <c r="F35" i="1" s="1"/>
  <c r="S24" i="1"/>
  <c r="S28" i="1" l="1"/>
  <c r="R28" i="1" s="1"/>
  <c r="S35" i="1"/>
  <c r="R35" i="1" s="1"/>
</calcChain>
</file>

<file path=xl/sharedStrings.xml><?xml version="1.0" encoding="utf-8"?>
<sst xmlns="http://schemas.openxmlformats.org/spreadsheetml/2006/main" count="68" uniqueCount="65">
  <si>
    <t>Descrizione intervento/i</t>
  </si>
  <si>
    <t>a.      spese per l’esecuzione di lavori o per l’acquisto di beni/servizi</t>
  </si>
  <si>
    <t>b.     spese per pubblicazione bandi di gara</t>
  </si>
  <si>
    <t>c.      spese per l’acquisizione di autorizzazioni, pareri, nulla osta e altri atti di assenso da parte delle amministrazioni competenti</t>
  </si>
  <si>
    <t xml:space="preserve">d.      spese tecniche di progettazione, direzione lavori, coordinamento della sicurezza e collaudi, opere d’ingegno, incentivi per funzioni tecniche </t>
  </si>
  <si>
    <r>
      <t>e.</t>
    </r>
    <r>
      <rPr>
        <b/>
        <sz val="7"/>
        <rFont val="Times New Roman"/>
        <family val="1"/>
      </rPr>
      <t xml:space="preserve">      </t>
    </r>
    <r>
      <rPr>
        <b/>
        <sz val="12"/>
        <rFont val="Garamond"/>
        <family val="1"/>
      </rPr>
      <t xml:space="preserve"> imprevisti (se inclusi nel quadro economico) </t>
    </r>
  </si>
  <si>
    <r>
      <t>f.</t>
    </r>
    <r>
      <rPr>
        <b/>
        <sz val="7"/>
        <rFont val="Times New Roman"/>
        <family val="1"/>
      </rPr>
      <t xml:space="preserve">      </t>
    </r>
    <r>
      <rPr>
        <b/>
        <sz val="12"/>
        <rFont val="Garamond"/>
        <family val="1"/>
      </rPr>
      <t xml:space="preserve">allacciamenti, sondaggi e accertamenti tecnici </t>
    </r>
  </si>
  <si>
    <r>
      <t>g.</t>
    </r>
    <r>
      <rPr>
        <b/>
        <sz val="7"/>
        <rFont val="Times New Roman"/>
        <family val="1"/>
      </rPr>
      <t xml:space="preserve">     </t>
    </r>
    <r>
      <rPr>
        <b/>
        <sz val="12"/>
        <rFont val="Garamond"/>
        <family val="1"/>
      </rPr>
      <t>spese per attrezzature, impianti e beni strumentali finalizzati anche all'adeguamento degli standard di sicurezza, di fruibilità da parte dei soggetti disabili</t>
    </r>
  </si>
  <si>
    <r>
      <t>h.</t>
    </r>
    <r>
      <rPr>
        <b/>
        <sz val="7"/>
        <rFont val="Times New Roman"/>
        <family val="1"/>
      </rPr>
      <t xml:space="preserve">     </t>
    </r>
    <r>
      <rPr>
        <b/>
        <sz val="12"/>
        <rFont val="Garamond"/>
        <family val="1"/>
      </rPr>
      <t>spese di consulenza specialistica funzionale alla realizzazione e completamento delle attività di progetto ed al conseguimento dei relativi obiettivi</t>
    </r>
  </si>
  <si>
    <t xml:space="preserve">1. Estensione delle superfici interessate ad una gestione  forestale certificata e integrata:  avvio e realizzazione  del processo di certifcazione forestale (certificazione PEFC e FSC) nella parte apuana del territorio del'Unione, a completamento del percorso di certifcazione  in corso nella parte appennica. </t>
  </si>
  <si>
    <t xml:space="preserve">1. Esecuzione lavori per l'attuazione dell'intervento di riqualificazione energetica del Centro operativo portezione civile: finalizzato alla parziale autosufficienza e energetica dell'edificio  </t>
  </si>
  <si>
    <t>3. Sviluppo compravendita crediti di carbonio: adesione alla piattaforma crediti del Parco dell'Appennino tosco emiliano per la compravendita dei crediti di sostenibilità</t>
  </si>
  <si>
    <t>3.  Mappatura delle best practice territoriali in materia agricola,  con il coinvolgimento delle aziende agricole giovanili: individuazione delle attività di ricerca promettenti, analisi delle best practice, costruzione di uno standard qualitativo</t>
  </si>
  <si>
    <t>2. Promozione dell'associazionismo fondiario: studio di fattibilità per l'individuazione di un consorzio tra proprietari privati di  boschi e foreste  e l'individuazione  di aree private da interessare al percorso di certificazione</t>
  </si>
  <si>
    <t>2. Sistemazione e adeguamento del Vivaio Centro la Piana: sistemazione arredi per spazi di coworking e acquisto attrezzature per attività di conservazione certificata ex situ di materiale vegetale idoneo per ripritino vegetazionale</t>
  </si>
  <si>
    <t xml:space="preserve">1. Definizione, in collaborazione con i partner scientifici,  di un piano strategico di sviluppo  dell’Ex Vivaio forestale  finalizzato a individui 2-3 linee di ricerca promettenti che porti stabilmente in Garfagnana giovani ricercatori universitari e operatori agricoli interessati ad avviare attività innovative sul germoplasma e la conservazione della biodiversità.  </t>
  </si>
  <si>
    <t>4.  Avvio di almeno un progetto  pilota sperimentale  che coinvalgono i sistema delle imprese e il mondo scientifico</t>
  </si>
  <si>
    <t>1. Creazione di punti
intermodali di collegamento stazione
- centri urbani delle stazioni ferroviarie di Camporgiano, Villetta San Romano, Poggio-Careggine-Vagli, Fosciandora-Ceserana  (PNRR)  e nei Comuni di Castelnuovo Garfagnana, Minucciano e Piazza al Serchio (cofinanziamento SNAI)</t>
  </si>
  <si>
    <t>Costo totale (netto IVA) NETTO COFINANZIAMENTO</t>
  </si>
  <si>
    <t>Costo totale (lordo IVA) NETTO COFINANZIAMENTO</t>
  </si>
  <si>
    <t>IMPORTO FINANZIATO</t>
  </si>
  <si>
    <t>IMPORTO CON COOF.</t>
  </si>
  <si>
    <t>Costo a valere su PNRR</t>
  </si>
  <si>
    <t>Costo a valere su altre Fonti
(COFINANZIAMENTO)</t>
  </si>
  <si>
    <t>Costo totale al Netto IVA</t>
  </si>
  <si>
    <t>Costo totale al Lordo IVA</t>
  </si>
  <si>
    <t>i.     spese personale a tempo determinato  funzionale alla realizzazione e completamento delle attività di progetto ed al conseguimento dei relativi obiettivi (rif. Circolare MEF n.4 del 2022)</t>
  </si>
  <si>
    <t>Soggetto Attuatore</t>
  </si>
  <si>
    <t>ID CUP</t>
  </si>
  <si>
    <r>
      <t xml:space="preserve">Valore cofinanziamento (SE  AFFERENTE A UN CUP DIFFERENTE DA QUELLO CARICATO IN REGIS)
 </t>
    </r>
    <r>
      <rPr>
        <sz val="12"/>
        <rFont val="Garamond"/>
        <family val="1"/>
      </rPr>
      <t>(criterio di valutazione n.4)</t>
    </r>
  </si>
  <si>
    <t>I75B22000230006</t>
  </si>
  <si>
    <t>I72H22000600006</t>
  </si>
  <si>
    <t>I73122000150006</t>
  </si>
  <si>
    <t>I73I22000170006</t>
  </si>
  <si>
    <t>I73E2200113006</t>
  </si>
  <si>
    <t>I75B22000250006</t>
  </si>
  <si>
    <t>I41G22000140006</t>
  </si>
  <si>
    <t>I75B22000260006</t>
  </si>
  <si>
    <t>I75B22000270006</t>
  </si>
  <si>
    <t xml:space="preserve">I71G22000170006 </t>
  </si>
  <si>
    <t xml:space="preserve">I71D22000070006 </t>
  </si>
  <si>
    <t>I71D22000080006</t>
  </si>
  <si>
    <t xml:space="preserve">I79F22023000006 </t>
  </si>
  <si>
    <t xml:space="preserve">I79F22023010006 </t>
  </si>
  <si>
    <t>I79F22023020006</t>
  </si>
  <si>
    <t>2.1 Realizzazione di n. 1 interventi pilota di realizzazione di nuovi invasi irrigui e/o di ripristino di quelli esistenti , con la relativa rete di distribuzione</t>
  </si>
  <si>
    <t>2.2 Realizzazione di n. 1 interventi pilota di realizzazione di nuovi invasi irrigui e/o di ripristino di quelli esistenti , con la relativa rete di distribuzione</t>
  </si>
  <si>
    <t>2.3 Realizzazione di n. 1 interventi pilota di realizzazione di nuovi invasi irrigui e/o di ripristino di quelli esistenti , con la relativa rete di distribuzione</t>
  </si>
  <si>
    <t xml:space="preserve">2.1 Realizzazione  di 1 interventi pilota  di efficientamento su 3 degli 8 rifugi,  da individuare a seguito dello studio di fattiiblità </t>
  </si>
  <si>
    <t>1. Studio di ricognizione e di fattibilità degli 8 rifugi presenti: mappatura, stato di conservazioe, con individuazione di 3 progetti pilota</t>
  </si>
  <si>
    <t xml:space="preserve">2.2 Realizzazione  di 1 interventi pilota  di efficientamento su 3 degli 8 rifugi,  da individuare a seguito dello studio di fattiiblità </t>
  </si>
  <si>
    <t xml:space="preserve">2.3 Realizzazione  di 1 interventi pilota  di efficientamento su 3 degli 8 rifugi,  da individuare a seguito dello studio di fattiiblità </t>
  </si>
  <si>
    <t xml:space="preserve">I49I22000650006 </t>
  </si>
  <si>
    <t xml:space="preserve">I79I22000770006 </t>
  </si>
  <si>
    <t xml:space="preserve">I69I22000970006 </t>
  </si>
  <si>
    <t>I39I22001300006</t>
  </si>
  <si>
    <t>AMBITO A</t>
  </si>
  <si>
    <t>AMBITO B</t>
  </si>
  <si>
    <t>AMBITO E</t>
  </si>
  <si>
    <t>AMBITO F</t>
  </si>
  <si>
    <t>AMBITO H</t>
  </si>
  <si>
    <t>AMBITO I</t>
  </si>
  <si>
    <t xml:space="preserve">I71G22000160006 </t>
  </si>
  <si>
    <t>1. Studio di ricognizione degli invasi irrigui presenti sul territorio: mappatura, distribuzione sul territorio, stato di conservazione, modello di gestione</t>
  </si>
  <si>
    <t>TOTALE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</si>
</sst>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-* #,##0.00\ _€_-;\-* #,##0.00\ _€_-;_-* &quot;-&quot;??\ _€_-;_-@_-"/>
    <numFmt numFmtId="164" formatCode="#,##0\ [$€-1];[Red]\-#,##0\ [$€-1]"/>
    <numFmt numFmtId="165" formatCode="_-* #,##0.00\ [$€-410]_-;\-* #,##0.00\ [$€-410]_-;_-* &quot;-&quot;??\ [$€-410]_-;_-@_-"/>
    <numFmt numFmtId="166" formatCode="#,##0.00\ [$€-1];[Red]\-#,##0.00\ [$€-1]"/>
    <numFmt numFmtId="167" formatCode="_-* #,##0\ _€_-;\-* #,##0\ _€_-;_-* &quot;-&quot;??\ _€_-;_-@_-"/>
    <numFmt numFmtId="168" formatCode="_-* #,##0\ [$€-410]_-;\-* #,##0\ [$€-410]_-;_-* &quot;-&quot;??\ [$€-410]_-;_-@_-"/>
  </numFmts>
  <fonts count="15" x14ac:knownFonts="1">
    <font>
      <sz val="11"/>
      <color theme="1"/>
      <name val="Calibri"/>
      <family val="2"/>
      <scheme val="minor"/>
    </font>
    <font>
      <b/>
      <sz val="12"/>
      <name val="Garamond"/>
      <family val="1"/>
    </font>
    <font>
      <sz val="12"/>
      <name val="Garamond"/>
      <family val="1"/>
    </font>
    <font>
      <b/>
      <sz val="7"/>
      <name val="Times New Roman"/>
      <family val="1"/>
    </font>
    <font>
      <b/>
      <sz val="12"/>
      <color rgb="FFFF0000"/>
      <name val="Garamond"/>
      <family val="1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25"/>
      <color theme="0"/>
      <name val="Garamond"/>
      <family val="1"/>
    </font>
    <font>
      <b/>
      <sz val="16"/>
      <name val="Calibri"/>
      <family val="2"/>
      <scheme val="minor"/>
    </font>
    <font>
      <sz val="13"/>
      <name val="Calibri"/>
      <family val="2"/>
      <scheme val="minor"/>
    </font>
    <font>
      <sz val="15"/>
      <name val="Calibri"/>
      <family val="2"/>
      <scheme val="minor"/>
    </font>
    <font>
      <b/>
      <sz val="15"/>
      <color rgb="FFFF0000"/>
      <name val="Calibri"/>
      <family val="2"/>
      <scheme val="minor"/>
    </font>
    <font>
      <b/>
      <sz val="15"/>
      <color rgb="FFFF0000"/>
      <name val="Garamond"/>
      <family val="1"/>
    </font>
    <font>
      <sz val="11"/>
      <color theme="1"/>
      <name val="Calibri"/>
      <family val="2"/>
      <scheme val="minor"/>
    </font>
    <font>
      <b/>
      <sz val="22"/>
      <name val="Garamond"/>
      <family val="1"/>
    </font>
  </fonts>
  <fills count="10">
    <fill>
      <patternFill patternType="none"/>
    </fill>
    <fill>
      <patternFill patternType="gray125"/>
    </fill>
    <fill>
      <patternFill patternType="solid">
        <fgColor rgb="FF1F3864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3" fillId="0" borderId="0" applyFont="0" applyFill="0" applyBorder="0" applyAlignment="0" applyProtection="0"/>
  </cellStyleXfs>
  <cellXfs count="66">
    <xf numFmtId="0" fontId="0" fillId="0" borderId="0" xfId="0"/>
    <xf numFmtId="0" fontId="1" fillId="5" borderId="1" xfId="0" applyFont="1" applyFill="1" applyBorder="1" applyAlignment="1">
      <alignment horizontal="center" vertical="top" wrapText="1"/>
    </xf>
    <xf numFmtId="0" fontId="1" fillId="3" borderId="1" xfId="0" applyFont="1" applyFill="1" applyBorder="1" applyAlignment="1">
      <alignment vertical="top" wrapText="1"/>
    </xf>
    <xf numFmtId="0" fontId="5" fillId="0" borderId="0" xfId="0" applyFont="1"/>
    <xf numFmtId="3" fontId="2" fillId="3" borderId="1" xfId="0" applyNumberFormat="1" applyFont="1" applyFill="1" applyBorder="1" applyAlignment="1">
      <alignment vertical="top" wrapText="1"/>
    </xf>
    <xf numFmtId="164" fontId="1" fillId="3" borderId="1" xfId="0" applyNumberFormat="1" applyFont="1" applyFill="1" applyBorder="1" applyAlignment="1">
      <alignment horizontal="right" vertical="top" wrapText="1"/>
    </xf>
    <xf numFmtId="165" fontId="1" fillId="3" borderId="1" xfId="0" applyNumberFormat="1" applyFont="1" applyFill="1" applyBorder="1" applyAlignment="1">
      <alignment horizontal="right" vertical="top" wrapText="1"/>
    </xf>
    <xf numFmtId="0" fontId="2" fillId="3" borderId="1" xfId="0" applyFont="1" applyFill="1" applyBorder="1" applyAlignment="1">
      <alignment vertical="top" wrapText="1"/>
    </xf>
    <xf numFmtId="0" fontId="5" fillId="0" borderId="1" xfId="0" applyFont="1" applyBorder="1"/>
    <xf numFmtId="0" fontId="1" fillId="3" borderId="3" xfId="0" applyFont="1" applyFill="1" applyBorder="1" applyAlignment="1">
      <alignment vertical="top" wrapText="1"/>
    </xf>
    <xf numFmtId="0" fontId="6" fillId="0" borderId="0" xfId="0" applyFont="1"/>
    <xf numFmtId="164" fontId="4" fillId="3" borderId="1" xfId="0" applyNumberFormat="1" applyFont="1" applyFill="1" applyBorder="1" applyAlignment="1">
      <alignment horizontal="right" vertical="top" wrapText="1"/>
    </xf>
    <xf numFmtId="165" fontId="6" fillId="0" borderId="0" xfId="0" applyNumberFormat="1" applyFont="1"/>
    <xf numFmtId="165" fontId="8" fillId="0" borderId="0" xfId="0" applyNumberFormat="1" applyFont="1"/>
    <xf numFmtId="165" fontId="5" fillId="0" borderId="0" xfId="0" applyNumberFormat="1" applyFont="1"/>
    <xf numFmtId="166" fontId="5" fillId="0" borderId="0" xfId="0" applyNumberFormat="1" applyFont="1"/>
    <xf numFmtId="165" fontId="9" fillId="0" borderId="0" xfId="0" applyNumberFormat="1" applyFont="1"/>
    <xf numFmtId="165" fontId="11" fillId="0" borderId="1" xfId="0" applyNumberFormat="1" applyFont="1" applyBorder="1"/>
    <xf numFmtId="165" fontId="10" fillId="0" borderId="0" xfId="0" applyNumberFormat="1" applyFont="1"/>
    <xf numFmtId="165" fontId="12" fillId="0" borderId="1" xfId="0" applyNumberFormat="1" applyFont="1" applyBorder="1" applyAlignment="1">
      <alignment horizontal="right" vertical="top" wrapText="1"/>
    </xf>
    <xf numFmtId="165" fontId="11" fillId="6" borderId="1" xfId="0" applyNumberFormat="1" applyFont="1" applyFill="1" applyBorder="1"/>
    <xf numFmtId="167" fontId="1" fillId="3" borderId="1" xfId="1" applyNumberFormat="1" applyFont="1" applyFill="1" applyBorder="1" applyAlignment="1">
      <alignment horizontal="right" vertical="top" wrapText="1"/>
    </xf>
    <xf numFmtId="168" fontId="1" fillId="3" borderId="1" xfId="0" applyNumberFormat="1" applyFont="1" applyFill="1" applyBorder="1" applyAlignment="1">
      <alignment horizontal="right" vertical="top" wrapText="1"/>
    </xf>
    <xf numFmtId="0" fontId="1" fillId="3" borderId="1" xfId="0" applyFont="1" applyFill="1" applyBorder="1" applyAlignment="1">
      <alignment vertical="top" wrapText="1"/>
    </xf>
    <xf numFmtId="164" fontId="5" fillId="0" borderId="4" xfId="0" applyNumberFormat="1" applyFont="1" applyBorder="1"/>
    <xf numFmtId="0" fontId="5" fillId="0" borderId="4" xfId="0" applyFont="1" applyBorder="1"/>
    <xf numFmtId="164" fontId="1" fillId="0" borderId="1" xfId="0" applyNumberFormat="1" applyFont="1" applyFill="1" applyBorder="1" applyAlignment="1">
      <alignment horizontal="right" vertical="top" wrapText="1"/>
    </xf>
    <xf numFmtId="0" fontId="5" fillId="0" borderId="0" xfId="0" applyFont="1" applyFill="1"/>
    <xf numFmtId="0" fontId="1" fillId="8" borderId="1" xfId="0" applyFont="1" applyFill="1" applyBorder="1" applyAlignment="1">
      <alignment vertical="top" wrapText="1"/>
    </xf>
    <xf numFmtId="0" fontId="2" fillId="8" borderId="1" xfId="0" applyFont="1" applyFill="1" applyBorder="1" applyAlignment="1">
      <alignment vertical="top" wrapText="1"/>
    </xf>
    <xf numFmtId="0" fontId="1" fillId="8" borderId="2" xfId="0" applyFont="1" applyFill="1" applyBorder="1" applyAlignment="1">
      <alignment horizontal="left" vertical="top" wrapText="1"/>
    </xf>
    <xf numFmtId="3" fontId="2" fillId="8" borderId="1" xfId="0" applyNumberFormat="1" applyFont="1" applyFill="1" applyBorder="1" applyAlignment="1">
      <alignment vertical="top" wrapText="1"/>
    </xf>
    <xf numFmtId="0" fontId="1" fillId="8" borderId="1" xfId="0" applyFont="1" applyFill="1" applyBorder="1" applyAlignment="1">
      <alignment horizontal="left" vertical="top" wrapText="1"/>
    </xf>
    <xf numFmtId="166" fontId="1" fillId="3" borderId="1" xfId="0" applyNumberFormat="1" applyFont="1" applyFill="1" applyBorder="1" applyAlignment="1">
      <alignment horizontal="right" vertical="top" wrapText="1"/>
    </xf>
    <xf numFmtId="166" fontId="2" fillId="3" borderId="1" xfId="0" applyNumberFormat="1" applyFont="1" applyFill="1" applyBorder="1" applyAlignment="1">
      <alignment horizontal="right" vertical="top" wrapText="1"/>
    </xf>
    <xf numFmtId="166" fontId="2" fillId="7" borderId="1" xfId="0" applyNumberFormat="1" applyFont="1" applyFill="1" applyBorder="1" applyAlignment="1">
      <alignment horizontal="right" vertical="top" wrapText="1"/>
    </xf>
    <xf numFmtId="166" fontId="1" fillId="3" borderId="1" xfId="1" applyNumberFormat="1" applyFont="1" applyFill="1" applyBorder="1" applyAlignment="1">
      <alignment horizontal="right" vertical="top" wrapText="1"/>
    </xf>
    <xf numFmtId="166" fontId="2" fillId="3" borderId="1" xfId="1" applyNumberFormat="1" applyFont="1" applyFill="1" applyBorder="1" applyAlignment="1">
      <alignment horizontal="right" vertical="top" wrapText="1"/>
    </xf>
    <xf numFmtId="166" fontId="1" fillId="8" borderId="1" xfId="0" applyNumberFormat="1" applyFont="1" applyFill="1" applyBorder="1" applyAlignment="1">
      <alignment horizontal="right" vertical="top" wrapText="1"/>
    </xf>
    <xf numFmtId="166" fontId="4" fillId="8" borderId="1" xfId="0" applyNumberFormat="1" applyFont="1" applyFill="1" applyBorder="1" applyAlignment="1">
      <alignment horizontal="right" vertical="top" wrapText="1"/>
    </xf>
    <xf numFmtId="166" fontId="2" fillId="8" borderId="1" xfId="0" applyNumberFormat="1" applyFont="1" applyFill="1" applyBorder="1" applyAlignment="1">
      <alignment horizontal="right" vertical="top" wrapText="1"/>
    </xf>
    <xf numFmtId="166" fontId="2" fillId="6" borderId="1" xfId="0" applyNumberFormat="1" applyFont="1" applyFill="1" applyBorder="1" applyAlignment="1">
      <alignment horizontal="right" vertical="top" wrapText="1"/>
    </xf>
    <xf numFmtId="166" fontId="4" fillId="3" borderId="1" xfId="0" applyNumberFormat="1" applyFont="1" applyFill="1" applyBorder="1" applyAlignment="1">
      <alignment horizontal="right" vertical="top" wrapText="1"/>
    </xf>
    <xf numFmtId="2" fontId="5" fillId="0" borderId="0" xfId="0" applyNumberFormat="1" applyFont="1"/>
    <xf numFmtId="2" fontId="10" fillId="0" borderId="0" xfId="0" applyNumberFormat="1" applyFont="1"/>
    <xf numFmtId="0" fontId="11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1" fillId="3" borderId="1" xfId="0" applyFont="1" applyFill="1" applyBorder="1" applyAlignment="1">
      <alignment horizontal="left" vertical="top" wrapText="1"/>
    </xf>
    <xf numFmtId="0" fontId="1" fillId="3" borderId="1" xfId="0" applyFont="1" applyFill="1" applyBorder="1" applyAlignment="1">
      <alignment vertical="top" wrapText="1"/>
    </xf>
    <xf numFmtId="0" fontId="1" fillId="3" borderId="3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165" fontId="8" fillId="0" borderId="0" xfId="0" applyNumberFormat="1" applyFont="1" applyBorder="1"/>
    <xf numFmtId="166" fontId="5" fillId="0" borderId="0" xfId="0" applyNumberFormat="1" applyFont="1" applyFill="1"/>
    <xf numFmtId="0" fontId="1" fillId="9" borderId="1" xfId="0" applyFont="1" applyFill="1" applyBorder="1" applyAlignment="1">
      <alignment horizontal="left" vertical="top" wrapText="1"/>
    </xf>
    <xf numFmtId="0" fontId="2" fillId="9" borderId="1" xfId="0" applyFont="1" applyFill="1" applyBorder="1" applyAlignment="1">
      <alignment vertical="top" wrapText="1"/>
    </xf>
    <xf numFmtId="166" fontId="1" fillId="9" borderId="1" xfId="0" applyNumberFormat="1" applyFont="1" applyFill="1" applyBorder="1" applyAlignment="1">
      <alignment horizontal="right" vertical="top" wrapText="1"/>
    </xf>
    <xf numFmtId="166" fontId="2" fillId="9" borderId="1" xfId="0" applyNumberFormat="1" applyFont="1" applyFill="1" applyBorder="1" applyAlignment="1">
      <alignment horizontal="right" vertical="top" wrapText="1"/>
    </xf>
    <xf numFmtId="166" fontId="5" fillId="9" borderId="1" xfId="0" applyNumberFormat="1" applyFont="1" applyFill="1" applyBorder="1" applyAlignment="1">
      <alignment vertical="top" wrapText="1"/>
    </xf>
    <xf numFmtId="0" fontId="14" fillId="9" borderId="1" xfId="0" applyFont="1" applyFill="1" applyBorder="1" applyAlignment="1">
      <alignment vertical="top" wrapText="1"/>
    </xf>
    <xf numFmtId="0" fontId="1" fillId="3" borderId="1" xfId="0" applyFont="1" applyFill="1" applyBorder="1" applyAlignment="1">
      <alignment vertical="top" wrapText="1"/>
    </xf>
    <xf numFmtId="166" fontId="2" fillId="3" borderId="1" xfId="0" applyNumberFormat="1" applyFont="1" applyFill="1" applyBorder="1" applyAlignment="1">
      <alignment horizontal="right" vertical="top" wrapText="1"/>
    </xf>
    <xf numFmtId="166" fontId="4" fillId="8" borderId="1" xfId="0" applyNumberFormat="1" applyFont="1" applyFill="1" applyBorder="1" applyAlignment="1">
      <alignment horizontal="right" vertical="top" wrapText="1"/>
    </xf>
    <xf numFmtId="0" fontId="7" fillId="2" borderId="5" xfId="0" applyFont="1" applyFill="1" applyBorder="1" applyAlignment="1">
      <alignment horizontal="center" vertical="top" wrapText="1"/>
    </xf>
    <xf numFmtId="0" fontId="11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</cellXfs>
  <cellStyles count="2">
    <cellStyle name="Migliaia" xfId="1" builtinId="3"/>
    <cellStyle name="Normale" xfId="0" builtinId="0"/>
  </cellStyles>
  <dxfs count="0"/>
  <tableStyles count="0" defaultTableStyle="TableStyleMedium9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45"/>
  <sheetViews>
    <sheetView tabSelected="1" zoomScale="53" zoomScaleNormal="53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Q42" sqref="A1:Q42"/>
    </sheetView>
  </sheetViews>
  <sheetFormatPr defaultColWidth="8.7109375" defaultRowHeight="15" x14ac:dyDescent="0.25"/>
  <cols>
    <col min="1" max="1" width="26.5703125" style="3" customWidth="1"/>
    <col min="2" max="2" width="54.7109375" style="3" customWidth="1"/>
    <col min="3" max="3" width="25.7109375" style="3" customWidth="1"/>
    <col min="4" max="5" width="39.7109375" style="10" customWidth="1"/>
    <col min="6" max="7" width="28.140625" style="10" customWidth="1"/>
    <col min="8" max="8" width="24.42578125" style="3" customWidth="1"/>
    <col min="9" max="9" width="19.5703125" style="3" customWidth="1"/>
    <col min="10" max="10" width="23" style="3" customWidth="1"/>
    <col min="11" max="11" width="21.7109375" style="3" customWidth="1"/>
    <col min="12" max="12" width="17.7109375" style="3" customWidth="1"/>
    <col min="13" max="13" width="18.42578125" style="3" customWidth="1"/>
    <col min="14" max="14" width="22.42578125" style="3" customWidth="1"/>
    <col min="15" max="16" width="25.140625" style="3" customWidth="1"/>
    <col min="17" max="17" width="24" style="25" customWidth="1"/>
    <col min="18" max="18" width="27.5703125" style="3" hidden="1" customWidth="1"/>
    <col min="19" max="19" width="29.42578125" style="3" hidden="1" customWidth="1"/>
    <col min="20" max="20" width="26" style="3" customWidth="1"/>
    <col min="21" max="22" width="8.7109375" style="3"/>
    <col min="23" max="23" width="27" style="3" customWidth="1"/>
    <col min="24" max="24" width="8.7109375" style="3"/>
    <col min="25" max="25" width="13.140625" style="3" bestFit="1" customWidth="1"/>
    <col min="26" max="16384" width="8.7109375" style="3"/>
  </cols>
  <sheetData>
    <row r="1" spans="1:23" ht="70.150000000000006" customHeight="1" x14ac:dyDescent="0.35">
      <c r="A1" s="63"/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</row>
    <row r="2" spans="1:23" ht="173.1" customHeight="1" x14ac:dyDescent="0.25">
      <c r="A2" s="50" t="s">
        <v>28</v>
      </c>
      <c r="B2" s="50" t="s">
        <v>0</v>
      </c>
      <c r="C2" s="50" t="s">
        <v>27</v>
      </c>
      <c r="D2" s="51" t="s">
        <v>24</v>
      </c>
      <c r="E2" s="51" t="s">
        <v>25</v>
      </c>
      <c r="F2" s="51" t="s">
        <v>22</v>
      </c>
      <c r="G2" s="51" t="s">
        <v>23</v>
      </c>
      <c r="H2" s="51" t="s">
        <v>1</v>
      </c>
      <c r="I2" s="51" t="s">
        <v>2</v>
      </c>
      <c r="J2" s="51" t="s">
        <v>3</v>
      </c>
      <c r="K2" s="51" t="s">
        <v>4</v>
      </c>
      <c r="L2" s="51" t="s">
        <v>5</v>
      </c>
      <c r="M2" s="51" t="s">
        <v>6</v>
      </c>
      <c r="N2" s="51" t="s">
        <v>7</v>
      </c>
      <c r="O2" s="51" t="s">
        <v>8</v>
      </c>
      <c r="P2" s="51" t="s">
        <v>26</v>
      </c>
      <c r="Q2" s="50" t="s">
        <v>29</v>
      </c>
      <c r="R2" s="1" t="s">
        <v>18</v>
      </c>
      <c r="S2" s="1" t="s">
        <v>19</v>
      </c>
    </row>
    <row r="3" spans="1:23" ht="51" customHeight="1" x14ac:dyDescent="0.25">
      <c r="A3" s="54"/>
      <c r="B3" s="59" t="s">
        <v>56</v>
      </c>
      <c r="C3" s="55"/>
      <c r="D3" s="56"/>
      <c r="E3" s="56"/>
      <c r="F3" s="56"/>
      <c r="G3" s="56"/>
      <c r="H3" s="57"/>
      <c r="I3" s="57"/>
      <c r="J3" s="57"/>
      <c r="K3" s="57"/>
      <c r="L3" s="57"/>
      <c r="M3" s="57"/>
      <c r="N3" s="57"/>
      <c r="O3" s="57"/>
      <c r="P3" s="57"/>
      <c r="Q3" s="58"/>
      <c r="R3" s="6">
        <f t="shared" ref="R3" si="0">S3/1.22</f>
        <v>0</v>
      </c>
      <c r="S3" s="6">
        <f t="shared" ref="S3" si="1">F3-Q3</f>
        <v>0</v>
      </c>
      <c r="W3" s="15"/>
    </row>
    <row r="4" spans="1:23" ht="135" customHeight="1" x14ac:dyDescent="0.25">
      <c r="A4" s="47" t="s">
        <v>30</v>
      </c>
      <c r="B4" s="2" t="s">
        <v>9</v>
      </c>
      <c r="C4" s="4"/>
      <c r="D4" s="33">
        <f>H4+I4+J4+K4+L4+M4+N4+O4</f>
        <v>141798.8524590164</v>
      </c>
      <c r="E4" s="33">
        <f>D4+(D4*22%)+0.4</f>
        <v>172995</v>
      </c>
      <c r="F4" s="33">
        <f>E4</f>
        <v>172995</v>
      </c>
      <c r="G4" s="33"/>
      <c r="H4" s="34">
        <f>156000/1.22</f>
        <v>127868.8524590164</v>
      </c>
      <c r="I4" s="34"/>
      <c r="J4" s="34"/>
      <c r="K4" s="34"/>
      <c r="L4" s="34"/>
      <c r="M4" s="34"/>
      <c r="N4" s="34"/>
      <c r="O4" s="34">
        <v>13930</v>
      </c>
      <c r="P4" s="34"/>
      <c r="Q4" s="34"/>
      <c r="R4" s="5">
        <f>S4/1.22</f>
        <v>141799.18032786885</v>
      </c>
      <c r="S4" s="5">
        <f t="shared" ref="S4:S20" si="2">F4-Q4</f>
        <v>172995</v>
      </c>
    </row>
    <row r="5" spans="1:23" ht="129.75" customHeight="1" x14ac:dyDescent="0.25">
      <c r="A5" s="47" t="s">
        <v>32</v>
      </c>
      <c r="B5" s="2" t="s">
        <v>13</v>
      </c>
      <c r="C5" s="4"/>
      <c r="D5" s="36">
        <f>H5+O5</f>
        <v>50300.39</v>
      </c>
      <c r="E5" s="36">
        <f>D5*1.22-0.48</f>
        <v>61365.995799999997</v>
      </c>
      <c r="F5" s="33">
        <f>E5</f>
        <v>61365.995799999997</v>
      </c>
      <c r="G5" s="36"/>
      <c r="H5" s="37">
        <v>40984</v>
      </c>
      <c r="I5" s="37"/>
      <c r="J5" s="37"/>
      <c r="K5" s="37"/>
      <c r="L5" s="37"/>
      <c r="M5" s="37"/>
      <c r="N5" s="37"/>
      <c r="O5" s="37">
        <v>9316.39</v>
      </c>
      <c r="P5" s="37"/>
      <c r="Q5" s="37"/>
      <c r="R5" s="21">
        <f t="shared" ref="R5:R35" si="3">S5/1.22</f>
        <v>50299.996557377046</v>
      </c>
      <c r="S5" s="21">
        <f t="shared" si="2"/>
        <v>61365.995799999997</v>
      </c>
    </row>
    <row r="6" spans="1:23" ht="98.25" customHeight="1" x14ac:dyDescent="0.25">
      <c r="A6" s="47" t="s">
        <v>31</v>
      </c>
      <c r="B6" s="2" t="s">
        <v>11</v>
      </c>
      <c r="C6" s="4"/>
      <c r="D6" s="33">
        <f>H6+I6+J6+K6+L6+M6+N6+O6</f>
        <v>16300</v>
      </c>
      <c r="E6" s="36">
        <f>D6*1.22</f>
        <v>19886</v>
      </c>
      <c r="F6" s="33">
        <f>E6</f>
        <v>19886</v>
      </c>
      <c r="G6" s="5"/>
      <c r="H6" s="34">
        <v>13360</v>
      </c>
      <c r="I6" s="34"/>
      <c r="J6" s="34"/>
      <c r="K6" s="34"/>
      <c r="L6" s="34"/>
      <c r="M6" s="34"/>
      <c r="N6" s="34"/>
      <c r="O6" s="34">
        <v>2940</v>
      </c>
      <c r="P6" s="34"/>
      <c r="Q6" s="34"/>
      <c r="R6" s="5">
        <f t="shared" si="3"/>
        <v>16300</v>
      </c>
      <c r="S6" s="5">
        <f t="shared" si="2"/>
        <v>19886</v>
      </c>
    </row>
    <row r="7" spans="1:23" ht="101.25" customHeight="1" x14ac:dyDescent="0.25">
      <c r="A7" s="30"/>
      <c r="B7" s="28"/>
      <c r="C7" s="31"/>
      <c r="D7" s="38"/>
      <c r="E7" s="38"/>
      <c r="F7" s="62">
        <f>F6+F5+F4</f>
        <v>254246.9958</v>
      </c>
      <c r="G7" s="39"/>
      <c r="H7" s="40"/>
      <c r="I7" s="40"/>
      <c r="J7" s="40"/>
      <c r="K7" s="40"/>
      <c r="L7" s="40"/>
      <c r="M7" s="40"/>
      <c r="N7" s="40"/>
      <c r="O7" s="40"/>
      <c r="P7" s="40"/>
      <c r="Q7" s="40"/>
      <c r="R7" s="5">
        <f t="shared" si="3"/>
        <v>208399.17688524592</v>
      </c>
      <c r="S7" s="5">
        <f t="shared" si="2"/>
        <v>254246.9958</v>
      </c>
    </row>
    <row r="8" spans="1:23" ht="51" customHeight="1" x14ac:dyDescent="0.25">
      <c r="A8" s="54"/>
      <c r="B8" s="59" t="s">
        <v>57</v>
      </c>
      <c r="C8" s="55"/>
      <c r="D8" s="56"/>
      <c r="E8" s="56"/>
      <c r="F8" s="56"/>
      <c r="G8" s="56"/>
      <c r="H8" s="57"/>
      <c r="I8" s="57"/>
      <c r="J8" s="57"/>
      <c r="K8" s="57"/>
      <c r="L8" s="57"/>
      <c r="M8" s="57"/>
      <c r="N8" s="57"/>
      <c r="O8" s="57"/>
      <c r="P8" s="57"/>
      <c r="Q8" s="58"/>
      <c r="R8" s="6">
        <f t="shared" si="3"/>
        <v>0</v>
      </c>
      <c r="S8" s="6">
        <f t="shared" si="2"/>
        <v>0</v>
      </c>
      <c r="W8" s="15"/>
    </row>
    <row r="9" spans="1:23" ht="65.099999999999994" customHeight="1" x14ac:dyDescent="0.25">
      <c r="A9" s="48" t="s">
        <v>62</v>
      </c>
      <c r="B9" s="60" t="s">
        <v>63</v>
      </c>
      <c r="C9" s="7"/>
      <c r="D9" s="33">
        <f>H9+I9+J9+K9+L9+M9+N9+O9+P9</f>
        <v>30966.6</v>
      </c>
      <c r="E9" s="33">
        <f>(D9-P9)*1.22+P9</f>
        <v>36966</v>
      </c>
      <c r="F9" s="33">
        <f t="shared" ref="F9:F12" si="4">E9</f>
        <v>36966</v>
      </c>
      <c r="G9" s="33"/>
      <c r="H9" s="34">
        <v>26970</v>
      </c>
      <c r="I9" s="34">
        <v>300</v>
      </c>
      <c r="J9" s="34"/>
      <c r="K9" s="34"/>
      <c r="L9" s="34"/>
      <c r="M9" s="34"/>
      <c r="N9" s="34"/>
      <c r="O9" s="34"/>
      <c r="P9" s="34">
        <v>3696.6</v>
      </c>
      <c r="Q9" s="34"/>
      <c r="R9" s="5">
        <f t="shared" ref="R9" si="5">S9/1.22</f>
        <v>30300</v>
      </c>
      <c r="S9" s="5">
        <f t="shared" ref="S9" si="6">F9-Q9</f>
        <v>36966</v>
      </c>
      <c r="T9" s="15"/>
      <c r="W9" s="15"/>
    </row>
    <row r="10" spans="1:23" ht="65.099999999999994" customHeight="1" x14ac:dyDescent="0.25">
      <c r="A10" s="48" t="s">
        <v>39</v>
      </c>
      <c r="B10" s="2" t="s">
        <v>45</v>
      </c>
      <c r="C10" s="7"/>
      <c r="D10" s="33">
        <f>H10+I10+J10+K10+L10+M10+N10+O10+P10</f>
        <v>86972</v>
      </c>
      <c r="E10" s="33">
        <f>(D10-P10)*1.22+P10+0.2</f>
        <v>103822</v>
      </c>
      <c r="F10" s="33">
        <f t="shared" si="4"/>
        <v>103822</v>
      </c>
      <c r="G10" s="33"/>
      <c r="H10" s="34">
        <v>51490</v>
      </c>
      <c r="I10" s="34">
        <v>100</v>
      </c>
      <c r="J10" s="34">
        <v>5000</v>
      </c>
      <c r="K10" s="34">
        <v>15000</v>
      </c>
      <c r="L10" s="34"/>
      <c r="M10" s="34"/>
      <c r="N10" s="34"/>
      <c r="O10" s="34">
        <v>5000</v>
      </c>
      <c r="P10" s="34">
        <v>10382</v>
      </c>
      <c r="Q10" s="34"/>
      <c r="R10" s="5">
        <f t="shared" si="3"/>
        <v>85100</v>
      </c>
      <c r="S10" s="5">
        <f t="shared" si="2"/>
        <v>103822</v>
      </c>
      <c r="T10" s="15"/>
      <c r="W10" s="15"/>
    </row>
    <row r="11" spans="1:23" ht="65.099999999999994" customHeight="1" x14ac:dyDescent="0.25">
      <c r="A11" s="48" t="s">
        <v>40</v>
      </c>
      <c r="B11" s="48" t="s">
        <v>46</v>
      </c>
      <c r="C11" s="7"/>
      <c r="D11" s="33">
        <f>H11+I11+J11+K11+L11+M11+N11+O11+P11</f>
        <v>86972</v>
      </c>
      <c r="E11" s="33">
        <f>(D11-P11)*1.22+P11+0.2</f>
        <v>103822</v>
      </c>
      <c r="F11" s="33">
        <f t="shared" si="4"/>
        <v>103822</v>
      </c>
      <c r="G11" s="33"/>
      <c r="H11" s="34">
        <v>51490</v>
      </c>
      <c r="I11" s="34">
        <v>100</v>
      </c>
      <c r="J11" s="34">
        <v>5000</v>
      </c>
      <c r="K11" s="34">
        <v>15000</v>
      </c>
      <c r="L11" s="34"/>
      <c r="M11" s="34"/>
      <c r="N11" s="34"/>
      <c r="O11" s="34">
        <v>5000</v>
      </c>
      <c r="P11" s="34">
        <v>10382</v>
      </c>
      <c r="Q11" s="34"/>
      <c r="R11" s="5">
        <f t="shared" ref="R11" si="7">S11/1.22</f>
        <v>85100</v>
      </c>
      <c r="S11" s="5">
        <f t="shared" ref="S11" si="8">F11-Q11</f>
        <v>103822</v>
      </c>
      <c r="T11" s="15"/>
      <c r="W11" s="15"/>
    </row>
    <row r="12" spans="1:23" ht="65.099999999999994" customHeight="1" x14ac:dyDescent="0.25">
      <c r="A12" s="48" t="s">
        <v>41</v>
      </c>
      <c r="B12" s="48" t="s">
        <v>47</v>
      </c>
      <c r="C12" s="7"/>
      <c r="D12" s="33">
        <f>H12+I12+J12+K12+L12+M12+N12+O12+P12</f>
        <v>86972</v>
      </c>
      <c r="E12" s="33">
        <f>(D12-P12)*1.22+P12+0.2</f>
        <v>103822</v>
      </c>
      <c r="F12" s="33">
        <f t="shared" si="4"/>
        <v>103822</v>
      </c>
      <c r="G12" s="33"/>
      <c r="H12" s="34">
        <v>51490</v>
      </c>
      <c r="I12" s="34">
        <v>100</v>
      </c>
      <c r="J12" s="34">
        <v>5000</v>
      </c>
      <c r="K12" s="34">
        <v>15000</v>
      </c>
      <c r="L12" s="34"/>
      <c r="M12" s="34"/>
      <c r="N12" s="34"/>
      <c r="O12" s="34">
        <v>5000</v>
      </c>
      <c r="P12" s="34">
        <v>10382</v>
      </c>
      <c r="Q12" s="34"/>
      <c r="R12" s="5">
        <f t="shared" ref="R12" si="9">S12/1.22</f>
        <v>85100</v>
      </c>
      <c r="S12" s="5">
        <f t="shared" ref="S12" si="10">F12-Q12</f>
        <v>103822</v>
      </c>
      <c r="W12" s="15"/>
    </row>
    <row r="13" spans="1:23" ht="88.5" customHeight="1" x14ac:dyDescent="0.25">
      <c r="A13" s="28"/>
      <c r="B13" s="28"/>
      <c r="C13" s="29"/>
      <c r="D13" s="38"/>
      <c r="E13" s="38"/>
      <c r="F13" s="39">
        <f>F9+F10+F11+F12</f>
        <v>348432</v>
      </c>
      <c r="G13" s="39"/>
      <c r="H13" s="38"/>
      <c r="I13" s="40"/>
      <c r="J13" s="38"/>
      <c r="K13" s="38"/>
      <c r="L13" s="40"/>
      <c r="M13" s="40"/>
      <c r="N13" s="40"/>
      <c r="O13" s="38"/>
      <c r="P13" s="38"/>
      <c r="Q13" s="40"/>
      <c r="R13" s="22">
        <f>S13/1.22</f>
        <v>285600</v>
      </c>
      <c r="S13" s="22">
        <f>F13-Q13</f>
        <v>348432</v>
      </c>
      <c r="W13" s="15"/>
    </row>
    <row r="14" spans="1:23" ht="51" customHeight="1" x14ac:dyDescent="0.25">
      <c r="A14" s="54"/>
      <c r="B14" s="59" t="s">
        <v>58</v>
      </c>
      <c r="C14" s="55"/>
      <c r="D14" s="56"/>
      <c r="E14" s="56"/>
      <c r="F14" s="56"/>
      <c r="G14" s="56"/>
      <c r="H14" s="57"/>
      <c r="I14" s="57"/>
      <c r="J14" s="57"/>
      <c r="K14" s="57"/>
      <c r="L14" s="57"/>
      <c r="M14" s="57"/>
      <c r="N14" s="57"/>
      <c r="O14" s="57"/>
      <c r="P14" s="57"/>
      <c r="Q14" s="58"/>
      <c r="R14" s="6">
        <f t="shared" ref="R14" si="11">S14/1.22</f>
        <v>0</v>
      </c>
      <c r="S14" s="6">
        <f t="shared" ref="S14" si="12">F14-Q14</f>
        <v>0</v>
      </c>
      <c r="W14" s="15"/>
    </row>
    <row r="15" spans="1:23" ht="78" customHeight="1" x14ac:dyDescent="0.25">
      <c r="A15" s="47" t="s">
        <v>33</v>
      </c>
      <c r="B15" s="48" t="s">
        <v>49</v>
      </c>
      <c r="C15" s="7"/>
      <c r="D15" s="33">
        <f>H15+P15</f>
        <v>51100</v>
      </c>
      <c r="E15" s="33">
        <f>(D15-P15)*1.22+P15</f>
        <v>61000</v>
      </c>
      <c r="F15" s="33">
        <f>E15</f>
        <v>61000</v>
      </c>
      <c r="G15" s="33"/>
      <c r="H15" s="34">
        <v>45000</v>
      </c>
      <c r="I15" s="34"/>
      <c r="J15" s="34"/>
      <c r="K15" s="34"/>
      <c r="L15" s="34"/>
      <c r="M15" s="34"/>
      <c r="N15" s="34"/>
      <c r="O15" s="34"/>
      <c r="P15" s="34">
        <v>6100</v>
      </c>
      <c r="Q15" s="34"/>
      <c r="R15" s="5">
        <f t="shared" ref="R15" si="13">S15/1.22</f>
        <v>50000</v>
      </c>
      <c r="S15" s="5">
        <f t="shared" ref="S15" si="14">F15-Q15</f>
        <v>61000</v>
      </c>
    </row>
    <row r="16" spans="1:23" ht="78" customHeight="1" x14ac:dyDescent="0.25">
      <c r="A16" s="47" t="s">
        <v>42</v>
      </c>
      <c r="B16" s="48" t="s">
        <v>48</v>
      </c>
      <c r="C16" s="7"/>
      <c r="D16" s="33">
        <f>H16+I16+J16+K16+L16+M16+N16+O16+P16</f>
        <v>118654</v>
      </c>
      <c r="E16" s="33">
        <f>(D16-P16)*1.22+P16+0.2</f>
        <v>141642</v>
      </c>
      <c r="F16" s="33">
        <f>E16</f>
        <v>141642</v>
      </c>
      <c r="G16" s="33"/>
      <c r="H16" s="34">
        <v>81723.33</v>
      </c>
      <c r="I16" s="34">
        <v>100</v>
      </c>
      <c r="J16" s="34"/>
      <c r="K16" s="34">
        <v>15000</v>
      </c>
      <c r="L16" s="34"/>
      <c r="M16" s="34">
        <v>2666.67</v>
      </c>
      <c r="N16" s="34"/>
      <c r="O16" s="34">
        <v>5000</v>
      </c>
      <c r="P16" s="34">
        <v>14164</v>
      </c>
      <c r="Q16" s="34"/>
      <c r="R16" s="5">
        <f t="shared" ref="R16:R17" si="15">S16/1.22</f>
        <v>116100</v>
      </c>
      <c r="S16" s="5">
        <f t="shared" ref="S16:S17" si="16">F16-Q16</f>
        <v>141642</v>
      </c>
    </row>
    <row r="17" spans="1:25" ht="78" customHeight="1" x14ac:dyDescent="0.25">
      <c r="A17" s="47" t="s">
        <v>43</v>
      </c>
      <c r="B17" s="48" t="s">
        <v>50</v>
      </c>
      <c r="C17" s="7"/>
      <c r="D17" s="33">
        <f>H17+I17+J17+K17+L17+M17+N17+O17+P17</f>
        <v>118654</v>
      </c>
      <c r="E17" s="33">
        <f>(D17-P17)*1.22+P17+0.2</f>
        <v>141642</v>
      </c>
      <c r="F17" s="33">
        <f>E17</f>
        <v>141642</v>
      </c>
      <c r="G17" s="33"/>
      <c r="H17" s="34">
        <v>81723.33</v>
      </c>
      <c r="I17" s="34">
        <v>100</v>
      </c>
      <c r="J17" s="34"/>
      <c r="K17" s="34">
        <v>15000</v>
      </c>
      <c r="L17" s="34"/>
      <c r="M17" s="34">
        <v>2666.67</v>
      </c>
      <c r="N17" s="34"/>
      <c r="O17" s="34">
        <v>5000</v>
      </c>
      <c r="P17" s="34">
        <v>14164</v>
      </c>
      <c r="Q17" s="34"/>
      <c r="R17" s="5">
        <f t="shared" si="15"/>
        <v>116100</v>
      </c>
      <c r="S17" s="5">
        <f t="shared" si="16"/>
        <v>141642</v>
      </c>
    </row>
    <row r="18" spans="1:25" ht="78" customHeight="1" x14ac:dyDescent="0.25">
      <c r="A18" s="47" t="s">
        <v>44</v>
      </c>
      <c r="B18" s="2" t="s">
        <v>51</v>
      </c>
      <c r="C18" s="7"/>
      <c r="D18" s="33">
        <f>H18+I18+J18+K18+L18+M18+N18+O18+P18</f>
        <v>118654</v>
      </c>
      <c r="E18" s="33">
        <f>(D18-P18)*1.22+P18+0.2</f>
        <v>141642</v>
      </c>
      <c r="F18" s="33">
        <f>E18</f>
        <v>141642</v>
      </c>
      <c r="G18" s="33"/>
      <c r="H18" s="34">
        <v>81723.33</v>
      </c>
      <c r="I18" s="34">
        <v>100</v>
      </c>
      <c r="J18" s="34"/>
      <c r="K18" s="34">
        <v>15000</v>
      </c>
      <c r="L18" s="34"/>
      <c r="M18" s="34">
        <v>2666.67</v>
      </c>
      <c r="N18" s="34"/>
      <c r="O18" s="34">
        <v>5000</v>
      </c>
      <c r="P18" s="34">
        <v>14164</v>
      </c>
      <c r="Q18" s="34"/>
      <c r="R18" s="5">
        <f t="shared" si="3"/>
        <v>116100</v>
      </c>
      <c r="S18" s="5">
        <f t="shared" si="2"/>
        <v>141642</v>
      </c>
    </row>
    <row r="19" spans="1:25" ht="90.75" customHeight="1" x14ac:dyDescent="0.25">
      <c r="A19" s="32"/>
      <c r="B19" s="28"/>
      <c r="C19" s="29"/>
      <c r="D19" s="38"/>
      <c r="E19" s="38"/>
      <c r="F19" s="39">
        <f>SUM(F15:F18)</f>
        <v>485926</v>
      </c>
      <c r="G19" s="39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5">
        <f t="shared" si="3"/>
        <v>398300</v>
      </c>
      <c r="S19" s="5">
        <f t="shared" si="2"/>
        <v>485926</v>
      </c>
    </row>
    <row r="20" spans="1:25" ht="51" customHeight="1" x14ac:dyDescent="0.25">
      <c r="A20" s="54"/>
      <c r="B20" s="59" t="s">
        <v>59</v>
      </c>
      <c r="C20" s="55"/>
      <c r="D20" s="56"/>
      <c r="E20" s="56"/>
      <c r="F20" s="56"/>
      <c r="G20" s="56"/>
      <c r="H20" s="57"/>
      <c r="I20" s="57"/>
      <c r="J20" s="57"/>
      <c r="K20" s="57"/>
      <c r="L20" s="57"/>
      <c r="M20" s="57"/>
      <c r="N20" s="57"/>
      <c r="O20" s="57"/>
      <c r="P20" s="57"/>
      <c r="Q20" s="58"/>
      <c r="R20" s="6">
        <f t="shared" si="3"/>
        <v>0</v>
      </c>
      <c r="S20" s="6">
        <f t="shared" si="2"/>
        <v>0</v>
      </c>
      <c r="W20" s="15"/>
    </row>
    <row r="21" spans="1:25" s="27" customFormat="1" ht="86.25" customHeight="1" x14ac:dyDescent="0.25">
      <c r="A21" s="48" t="s">
        <v>34</v>
      </c>
      <c r="B21" s="23" t="s">
        <v>10</v>
      </c>
      <c r="C21" s="7"/>
      <c r="D21" s="33">
        <f>H21+I21+J21+K21+M21+L21</f>
        <v>360731.93</v>
      </c>
      <c r="E21" s="33"/>
      <c r="F21" s="33">
        <f>D21*1.22+0.05</f>
        <v>440093.00459999999</v>
      </c>
      <c r="G21" s="33"/>
      <c r="H21" s="34">
        <v>264105.74</v>
      </c>
      <c r="I21" s="34">
        <v>1000</v>
      </c>
      <c r="J21" s="34">
        <v>0</v>
      </c>
      <c r="K21" s="34">
        <f>39974.12+1598.96+5282.11+3120</f>
        <v>49975.19</v>
      </c>
      <c r="L21" s="34">
        <v>45151</v>
      </c>
      <c r="M21" s="34">
        <v>500</v>
      </c>
      <c r="N21" s="34"/>
      <c r="O21" s="34"/>
      <c r="P21" s="34"/>
      <c r="Q21" s="41">
        <v>39907</v>
      </c>
      <c r="R21" s="26">
        <f>D21</f>
        <v>360731.93</v>
      </c>
      <c r="S21" s="26">
        <f>F21</f>
        <v>440093.00459999999</v>
      </c>
    </row>
    <row r="22" spans="1:25" ht="112.15" customHeight="1" x14ac:dyDescent="0.25">
      <c r="A22" s="28"/>
      <c r="B22" s="28"/>
      <c r="C22" s="29"/>
      <c r="D22" s="38"/>
      <c r="E22" s="38"/>
      <c r="F22" s="39">
        <f>SUM(F21)</f>
        <v>440093.00459999999</v>
      </c>
      <c r="G22" s="39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5"/>
      <c r="S22" s="5"/>
      <c r="W22" s="15"/>
      <c r="Y22" s="15"/>
    </row>
    <row r="23" spans="1:25" ht="51" customHeight="1" x14ac:dyDescent="0.25">
      <c r="A23" s="54"/>
      <c r="B23" s="59" t="s">
        <v>60</v>
      </c>
      <c r="C23" s="55"/>
      <c r="D23" s="56"/>
      <c r="E23" s="56"/>
      <c r="F23" s="56"/>
      <c r="G23" s="56"/>
      <c r="H23" s="57"/>
      <c r="I23" s="57"/>
      <c r="J23" s="57"/>
      <c r="K23" s="57"/>
      <c r="L23" s="57"/>
      <c r="M23" s="57"/>
      <c r="N23" s="57"/>
      <c r="O23" s="57"/>
      <c r="P23" s="57"/>
      <c r="Q23" s="58"/>
      <c r="R23" s="6">
        <f t="shared" ref="R23" si="17">S23/1.22</f>
        <v>0</v>
      </c>
      <c r="S23" s="6">
        <f t="shared" ref="S23" si="18">F23-Q23</f>
        <v>0</v>
      </c>
      <c r="W23" s="15"/>
    </row>
    <row r="24" spans="1:25" s="27" customFormat="1" ht="88.5" customHeight="1" x14ac:dyDescent="0.25">
      <c r="A24" s="48" t="s">
        <v>52</v>
      </c>
      <c r="B24" s="48" t="s">
        <v>17</v>
      </c>
      <c r="C24" s="7"/>
      <c r="D24" s="33">
        <f>H24+I24+J24+K24+L24+M24+N24+O24+P24</f>
        <v>339270.49278688524</v>
      </c>
      <c r="E24" s="33">
        <f>(D24-P24)*1.22+P24</f>
        <v>405000.0012</v>
      </c>
      <c r="F24" s="33">
        <f>E24</f>
        <v>405000.0012</v>
      </c>
      <c r="G24" s="33"/>
      <c r="H24" s="34">
        <f>346756.5/1.22-39037.66</f>
        <v>245188.9793442623</v>
      </c>
      <c r="I24" s="34">
        <v>300</v>
      </c>
      <c r="J24" s="34">
        <v>1250</v>
      </c>
      <c r="K24" s="34">
        <f>41318.5/1.22</f>
        <v>33867.62295081967</v>
      </c>
      <c r="L24" s="34"/>
      <c r="M24" s="34">
        <v>3000</v>
      </c>
      <c r="N24" s="34">
        <f>13872.95/1.22</f>
        <v>11371.27049180328</v>
      </c>
      <c r="O24" s="34">
        <v>3792.62</v>
      </c>
      <c r="P24" s="34">
        <v>40500</v>
      </c>
      <c r="Q24" s="61"/>
      <c r="R24" s="26"/>
      <c r="S24" s="26">
        <f>F24-Q24</f>
        <v>405000.0012</v>
      </c>
    </row>
    <row r="25" spans="1:25" s="27" customFormat="1" ht="80.25" customHeight="1" x14ac:dyDescent="0.25">
      <c r="A25" s="48" t="s">
        <v>53</v>
      </c>
      <c r="B25" s="48" t="s">
        <v>17</v>
      </c>
      <c r="C25" s="7"/>
      <c r="D25" s="33">
        <f>H25+I25+J25+K25+L25+M25+N25+O25+P25</f>
        <v>339270.49278688524</v>
      </c>
      <c r="E25" s="33">
        <f t="shared" ref="E25:E27" si="19">(D25-P25)*1.22+P25</f>
        <v>405000.0012</v>
      </c>
      <c r="F25" s="33">
        <f t="shared" ref="F25:F27" si="20">E25</f>
        <v>405000.0012</v>
      </c>
      <c r="G25" s="33"/>
      <c r="H25" s="34">
        <f>346756.5/1.22-39037.66</f>
        <v>245188.9793442623</v>
      </c>
      <c r="I25" s="34">
        <v>300</v>
      </c>
      <c r="J25" s="34">
        <v>1250</v>
      </c>
      <c r="K25" s="34">
        <f>41318.5/1.22</f>
        <v>33867.62295081967</v>
      </c>
      <c r="L25" s="34"/>
      <c r="M25" s="34">
        <v>3000</v>
      </c>
      <c r="N25" s="34">
        <f>13872.95/1.22</f>
        <v>11371.27049180328</v>
      </c>
      <c r="O25" s="34">
        <v>3792.62</v>
      </c>
      <c r="P25" s="34">
        <v>40500</v>
      </c>
      <c r="Q25" s="61"/>
      <c r="R25" s="26"/>
      <c r="S25" s="26">
        <f>F25-Q25</f>
        <v>405000.0012</v>
      </c>
      <c r="Y25" s="53"/>
    </row>
    <row r="26" spans="1:25" s="27" customFormat="1" ht="75.75" customHeight="1" x14ac:dyDescent="0.25">
      <c r="A26" s="48" t="s">
        <v>54</v>
      </c>
      <c r="B26" s="48" t="s">
        <v>17</v>
      </c>
      <c r="C26" s="7"/>
      <c r="D26" s="33">
        <f>H26+I26+J26+K26+L26+M26+N26+O26+P26</f>
        <v>346241.8342622951</v>
      </c>
      <c r="E26" s="33">
        <f t="shared" si="19"/>
        <v>413321.99780000001</v>
      </c>
      <c r="F26" s="33">
        <f t="shared" si="20"/>
        <v>413321.99780000001</v>
      </c>
      <c r="G26" s="33"/>
      <c r="H26" s="34">
        <f>355078.5/1.22-42719.63</f>
        <v>248328.32081967214</v>
      </c>
      <c r="I26" s="34">
        <v>300</v>
      </c>
      <c r="J26" s="34">
        <v>1250</v>
      </c>
      <c r="K26" s="34">
        <f>41318.5/1.22</f>
        <v>33867.62295081967</v>
      </c>
      <c r="L26" s="34"/>
      <c r="M26" s="34">
        <v>6000</v>
      </c>
      <c r="N26" s="34">
        <f>13872.95/1.22</f>
        <v>11371.27049180328</v>
      </c>
      <c r="O26" s="34">
        <v>3792.62</v>
      </c>
      <c r="P26" s="34">
        <v>41332</v>
      </c>
      <c r="Q26" s="61"/>
      <c r="R26" s="26"/>
      <c r="S26" s="26">
        <f>F26-Q26</f>
        <v>413321.99780000001</v>
      </c>
      <c r="Y26" s="53"/>
    </row>
    <row r="27" spans="1:25" s="27" customFormat="1" ht="74.25" customHeight="1" x14ac:dyDescent="0.25">
      <c r="A27" s="48" t="s">
        <v>55</v>
      </c>
      <c r="B27" s="23" t="s">
        <v>17</v>
      </c>
      <c r="C27" s="7"/>
      <c r="D27" s="33">
        <f>H27+I27+J27+K27+L27+M27+N27+O27+P27</f>
        <v>339270.49278688524</v>
      </c>
      <c r="E27" s="33">
        <f t="shared" si="19"/>
        <v>405000.0012</v>
      </c>
      <c r="F27" s="33">
        <f t="shared" si="20"/>
        <v>405000.0012</v>
      </c>
      <c r="G27" s="33"/>
      <c r="H27" s="34">
        <f>346756.5/1.22-39037.66</f>
        <v>245188.9793442623</v>
      </c>
      <c r="I27" s="34">
        <v>300</v>
      </c>
      <c r="J27" s="34">
        <v>1250</v>
      </c>
      <c r="K27" s="34">
        <f>41318.5/1.22</f>
        <v>33867.62295081967</v>
      </c>
      <c r="L27" s="34"/>
      <c r="M27" s="34">
        <v>3000</v>
      </c>
      <c r="N27" s="34">
        <f>13872.95/1.22</f>
        <v>11371.27049180328</v>
      </c>
      <c r="O27" s="34">
        <v>3792.62</v>
      </c>
      <c r="P27" s="34">
        <v>40500</v>
      </c>
      <c r="Q27" s="61"/>
      <c r="R27" s="26"/>
      <c r="S27" s="26">
        <f>F27-Q27</f>
        <v>405000.0012</v>
      </c>
    </row>
    <row r="28" spans="1:25" ht="112.15" customHeight="1" x14ac:dyDescent="0.25">
      <c r="A28" s="28"/>
      <c r="B28" s="28"/>
      <c r="C28" s="29"/>
      <c r="D28" s="38"/>
      <c r="E28" s="38"/>
      <c r="F28" s="39">
        <f>F24+F25+F26+F27</f>
        <v>1628322.0014000002</v>
      </c>
      <c r="G28" s="39"/>
      <c r="H28" s="40"/>
      <c r="I28" s="40"/>
      <c r="J28" s="40"/>
      <c r="K28" s="40"/>
      <c r="L28" s="40"/>
      <c r="M28" s="40"/>
      <c r="N28" s="40"/>
      <c r="O28" s="40"/>
      <c r="P28" s="40"/>
      <c r="Q28" s="41">
        <v>1375000</v>
      </c>
      <c r="R28" s="5">
        <f t="shared" ref="R28:R29" si="21">S28/1.22</f>
        <v>207640.98475409852</v>
      </c>
      <c r="S28" s="5">
        <f t="shared" ref="S28:S29" si="22">F28-Q28</f>
        <v>253322.00140000018</v>
      </c>
    </row>
    <row r="29" spans="1:25" ht="51" customHeight="1" x14ac:dyDescent="0.25">
      <c r="A29" s="54"/>
      <c r="B29" s="59" t="s">
        <v>61</v>
      </c>
      <c r="C29" s="55"/>
      <c r="D29" s="56"/>
      <c r="E29" s="56"/>
      <c r="F29" s="56"/>
      <c r="G29" s="56"/>
      <c r="H29" s="57"/>
      <c r="I29" s="57"/>
      <c r="J29" s="57"/>
      <c r="K29" s="57"/>
      <c r="L29" s="57"/>
      <c r="M29" s="57"/>
      <c r="N29" s="57"/>
      <c r="O29" s="57"/>
      <c r="P29" s="57"/>
      <c r="Q29" s="58"/>
      <c r="R29" s="6">
        <f t="shared" si="21"/>
        <v>0</v>
      </c>
      <c r="S29" s="6">
        <f t="shared" si="22"/>
        <v>0</v>
      </c>
      <c r="W29" s="15"/>
    </row>
    <row r="30" spans="1:25" ht="74.25" customHeight="1" x14ac:dyDescent="0.25">
      <c r="A30" s="47" t="s">
        <v>35</v>
      </c>
      <c r="B30" s="2" t="s">
        <v>15</v>
      </c>
      <c r="C30" s="7"/>
      <c r="D30" s="33">
        <f>H30+I30+J30+K30+L30+M30+N30+O30+P30</f>
        <v>25550</v>
      </c>
      <c r="E30" s="33">
        <f>D30+((D30-3050)*22%)</f>
        <v>30500</v>
      </c>
      <c r="F30" s="33">
        <f>E30</f>
        <v>30500</v>
      </c>
      <c r="G30" s="33"/>
      <c r="H30" s="35">
        <f>10000-2500</f>
        <v>7500</v>
      </c>
      <c r="I30" s="35"/>
      <c r="J30" s="35"/>
      <c r="K30" s="35"/>
      <c r="L30" s="35"/>
      <c r="M30" s="35"/>
      <c r="N30" s="35"/>
      <c r="O30" s="35">
        <v>15000</v>
      </c>
      <c r="P30" s="35">
        <v>3050</v>
      </c>
      <c r="Q30" s="35"/>
      <c r="R30" s="5">
        <f t="shared" si="3"/>
        <v>25000</v>
      </c>
      <c r="S30" s="5">
        <f>E30-Q30</f>
        <v>30500</v>
      </c>
      <c r="W30" s="15"/>
    </row>
    <row r="31" spans="1:25" ht="70.5" customHeight="1" x14ac:dyDescent="0.25">
      <c r="A31" s="49" t="s">
        <v>36</v>
      </c>
      <c r="B31" s="9" t="s">
        <v>14</v>
      </c>
      <c r="C31" s="7"/>
      <c r="D31" s="33">
        <f>H31+I31+J31+K31+L31+M31+N31+O31+P31</f>
        <v>58560.6</v>
      </c>
      <c r="E31" s="33">
        <f>D31+((D31-6990.6)*22%)</f>
        <v>69906</v>
      </c>
      <c r="F31" s="33">
        <f t="shared" ref="F31:F33" si="23">E31</f>
        <v>69906</v>
      </c>
      <c r="G31" s="33"/>
      <c r="H31" s="35">
        <f>35000-5730</f>
        <v>29270</v>
      </c>
      <c r="I31" s="35">
        <v>300</v>
      </c>
      <c r="J31" s="35"/>
      <c r="K31" s="35">
        <v>10000</v>
      </c>
      <c r="L31" s="35"/>
      <c r="M31" s="35">
        <v>2000</v>
      </c>
      <c r="N31" s="35"/>
      <c r="O31" s="35">
        <f>10000</f>
        <v>10000</v>
      </c>
      <c r="P31" s="35">
        <v>6990.6</v>
      </c>
      <c r="Q31" s="34"/>
      <c r="R31" s="5">
        <f t="shared" si="3"/>
        <v>57300</v>
      </c>
      <c r="S31" s="5">
        <f>E31-Q31</f>
        <v>69906</v>
      </c>
      <c r="W31" s="15"/>
    </row>
    <row r="32" spans="1:25" ht="68.25" customHeight="1" x14ac:dyDescent="0.25">
      <c r="A32" s="47" t="s">
        <v>37</v>
      </c>
      <c r="B32" s="2" t="s">
        <v>12</v>
      </c>
      <c r="C32" s="7"/>
      <c r="D32" s="33">
        <f>H32+I32+J32+K32+L32+M32+N32+O32+P32</f>
        <v>15330</v>
      </c>
      <c r="E32" s="33">
        <f>D32+((D32-1830)*22%)</f>
        <v>18300</v>
      </c>
      <c r="F32" s="33">
        <f t="shared" si="23"/>
        <v>18300</v>
      </c>
      <c r="G32" s="33"/>
      <c r="H32" s="35">
        <f>15000-1500</f>
        <v>13500</v>
      </c>
      <c r="I32" s="35"/>
      <c r="J32" s="35"/>
      <c r="K32" s="35"/>
      <c r="L32" s="35"/>
      <c r="M32" s="35"/>
      <c r="N32" s="35"/>
      <c r="O32" s="35"/>
      <c r="P32" s="35">
        <v>1830</v>
      </c>
      <c r="Q32" s="34"/>
      <c r="R32" s="5">
        <f t="shared" si="3"/>
        <v>15000</v>
      </c>
      <c r="S32" s="5">
        <f>E32-Q32</f>
        <v>18300</v>
      </c>
      <c r="W32" s="15"/>
    </row>
    <row r="33" spans="1:23" ht="67.5" customHeight="1" x14ac:dyDescent="0.25">
      <c r="A33" s="47" t="s">
        <v>38</v>
      </c>
      <c r="B33" s="2" t="s">
        <v>16</v>
      </c>
      <c r="C33" s="7"/>
      <c r="D33" s="33">
        <f>H33+I33+J33+K33+L33+M33+N33+O33+P33</f>
        <v>56210</v>
      </c>
      <c r="E33" s="33">
        <f>D33+((D33-6710)*22%)</f>
        <v>67100</v>
      </c>
      <c r="F33" s="33">
        <f t="shared" si="23"/>
        <v>67100</v>
      </c>
      <c r="G33" s="33"/>
      <c r="H33" s="35">
        <f>45000-5500</f>
        <v>39500</v>
      </c>
      <c r="I33" s="35"/>
      <c r="J33" s="35"/>
      <c r="K33" s="35"/>
      <c r="L33" s="35"/>
      <c r="M33" s="35"/>
      <c r="N33" s="35"/>
      <c r="O33" s="35">
        <f>10000</f>
        <v>10000</v>
      </c>
      <c r="P33" s="35">
        <v>6710</v>
      </c>
      <c r="Q33" s="34"/>
      <c r="R33" s="5">
        <f t="shared" si="3"/>
        <v>55000</v>
      </c>
      <c r="S33" s="5">
        <f>E33-Q33</f>
        <v>67100</v>
      </c>
      <c r="W33" s="15"/>
    </row>
    <row r="34" spans="1:23" ht="111" customHeight="1" x14ac:dyDescent="0.25">
      <c r="A34" s="32"/>
      <c r="B34" s="28"/>
      <c r="C34" s="29"/>
      <c r="D34" s="38"/>
      <c r="E34" s="38"/>
      <c r="F34" s="39">
        <f>SUM(F30:F33)</f>
        <v>185806</v>
      </c>
      <c r="G34" s="39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5">
        <f t="shared" si="3"/>
        <v>152300</v>
      </c>
      <c r="S34" s="5">
        <f t="shared" ref="S34:S35" si="24">F34-Q34</f>
        <v>185806</v>
      </c>
    </row>
    <row r="35" spans="1:23" ht="65.099999999999994" customHeight="1" x14ac:dyDescent="0.25">
      <c r="A35" s="8"/>
      <c r="B35" s="59" t="s">
        <v>64</v>
      </c>
      <c r="C35" s="8"/>
      <c r="D35" s="42">
        <f>SUM(D4:D33)</f>
        <v>2787779.6850819672</v>
      </c>
      <c r="E35" s="42"/>
      <c r="F35" s="42">
        <f>F34+F28+F22+F19+F13+F7+0.58</f>
        <v>3342826.5818000003</v>
      </c>
      <c r="G35" s="42"/>
      <c r="H35" s="34"/>
      <c r="I35" s="34"/>
      <c r="J35" s="34"/>
      <c r="K35" s="34"/>
      <c r="L35" s="34"/>
      <c r="M35" s="34"/>
      <c r="N35" s="34"/>
      <c r="O35" s="34"/>
      <c r="P35" s="34"/>
      <c r="Q35" s="41">
        <f>Q28+Q21</f>
        <v>1414907</v>
      </c>
      <c r="R35" s="11">
        <f t="shared" si="3"/>
        <v>1580261.9522950822</v>
      </c>
      <c r="S35" s="11">
        <f t="shared" si="24"/>
        <v>1927919.5818000003</v>
      </c>
    </row>
    <row r="36" spans="1:23" x14ac:dyDescent="0.25">
      <c r="Q36" s="24"/>
    </row>
    <row r="38" spans="1:23" ht="39.4" customHeight="1" x14ac:dyDescent="0.3">
      <c r="B38" s="25"/>
      <c r="C38" s="64"/>
      <c r="D38" s="64"/>
      <c r="E38" s="45"/>
      <c r="F38" s="19"/>
      <c r="G38" s="3"/>
      <c r="H38" s="43"/>
      <c r="I38" s="43"/>
      <c r="J38" s="44"/>
      <c r="K38" s="43"/>
      <c r="L38" s="43"/>
      <c r="M38" s="43"/>
      <c r="N38" s="43"/>
      <c r="O38" s="43"/>
      <c r="P38" s="43"/>
    </row>
    <row r="39" spans="1:23" ht="36.4" customHeight="1" x14ac:dyDescent="0.3">
      <c r="B39" s="25"/>
      <c r="C39" s="64" t="s">
        <v>20</v>
      </c>
      <c r="D39" s="64"/>
      <c r="E39" s="45"/>
      <c r="F39" s="20">
        <v>3342826.58</v>
      </c>
      <c r="G39" s="3"/>
      <c r="H39" s="15"/>
      <c r="I39" s="15"/>
      <c r="J39" s="18"/>
    </row>
    <row r="40" spans="1:23" ht="40.15" customHeight="1" x14ac:dyDescent="0.3">
      <c r="B40" s="25"/>
      <c r="C40" s="64"/>
      <c r="D40" s="64"/>
      <c r="E40" s="45"/>
      <c r="F40" s="17"/>
      <c r="G40" s="3"/>
      <c r="J40" s="14"/>
      <c r="O40" s="43"/>
      <c r="P40" s="43"/>
    </row>
    <row r="41" spans="1:23" ht="46.5" customHeight="1" x14ac:dyDescent="0.3">
      <c r="B41" s="25"/>
      <c r="C41" s="64" t="s">
        <v>21</v>
      </c>
      <c r="D41" s="64"/>
      <c r="E41" s="45"/>
      <c r="F41" s="20">
        <f>F39+Q35</f>
        <v>4757733.58</v>
      </c>
      <c r="G41" s="3"/>
    </row>
    <row r="42" spans="1:23" ht="21" x14ac:dyDescent="0.35">
      <c r="C42" s="65"/>
      <c r="D42" s="65"/>
      <c r="E42" s="46"/>
      <c r="F42" s="13"/>
      <c r="G42" s="52"/>
    </row>
    <row r="43" spans="1:23" ht="32.65" customHeight="1" x14ac:dyDescent="0.3">
      <c r="F43" s="12"/>
      <c r="G43" s="12"/>
      <c r="H43" s="12"/>
      <c r="I43" s="16"/>
    </row>
    <row r="45" spans="1:23" ht="44.65" customHeight="1" x14ac:dyDescent="0.25"/>
  </sheetData>
  <mergeCells count="6">
    <mergeCell ref="A1:Q1"/>
    <mergeCell ref="C39:D39"/>
    <mergeCell ref="C38:D38"/>
    <mergeCell ref="C42:D42"/>
    <mergeCell ref="C41:D41"/>
    <mergeCell ref="C40:D40"/>
  </mergeCells>
  <pageMargins left="0.25" right="0.25" top="0.75" bottom="0.75" header="0.3" footer="0.3"/>
  <pageSetup paperSize="8" scale="4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generale</vt:lpstr>
      <vt:lpstr>Foglio1</vt:lpstr>
      <vt:lpstr>generale!Area_stampa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Annalisa</dc:creator>
  <cp:lastModifiedBy>Carla Lenzi</cp:lastModifiedBy>
  <cp:lastPrinted>2023-05-29T15:25:46Z</cp:lastPrinted>
  <dcterms:created xsi:type="dcterms:W3CDTF">2022-07-27T09:33:30Z</dcterms:created>
  <dcterms:modified xsi:type="dcterms:W3CDTF">2023-05-29T15:26:00Z</dcterms:modified>
</cp:coreProperties>
</file>